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четы" sheetId="1" r:id="rId1"/>
    <sheet name="Лист2" sheetId="2" r:id="rId2"/>
    <sheet name="Лист3" sheetId="3" r:id="rId3"/>
  </sheets>
  <definedNames>
    <definedName name="кп">'Расчеты'!$D$21</definedName>
    <definedName name="Новый_текстовый_документ__3" localSheetId="0">'Расчеты'!$A$2:$D$9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 использовал "виртуальный восьмиугольник" чтобы на основе подобности найти интересующие меня размеры белка</t>
        </r>
      </text>
    </comment>
    <comment ref="E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белке
</t>
        </r>
      </text>
    </comment>
    <comment ref="A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Усредненный коэффициент пропорциональности между апроксимированной молекулой белка и виртуальным восьмиугольником</t>
        </r>
      </text>
    </comment>
    <comment ref="A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Апроксимирование E.Coli</t>
        </r>
      </text>
    </comment>
    <comment ref="A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Замощение апроксимированной E.Coli параллелоэдрами, в основании которых лежит правильный восьмиугольник</t>
        </r>
      </text>
    </comment>
    <comment ref="D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Замощение апроксимированной E.Coli сферами</t>
        </r>
      </text>
    </comment>
    <comment ref="A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Количество восьмиугольников помещающихся на диаметре</t>
        </r>
      </text>
    </comment>
    <comment ref="A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Количество восьмиугольников помещающихся на окружности</t>
        </r>
      </text>
    </comment>
    <comment ref="A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Суммарное количество молекул в одном слое</t>
        </r>
      </text>
    </comment>
    <comment ref="A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Количество слоев помещающихся в цилиндре</t>
        </r>
      </text>
    </comment>
    <comment ref="A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суммарное количество молекул
</t>
        </r>
      </text>
    </comment>
    <comment ref="A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учесть что размеры всех белков равны, всего белков 4400, и и количество копий каждого белка равно
</t>
        </r>
      </text>
    </comment>
    <comment ref="D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Silwer:
Если учесть что размеры всех белков равны, всего белков 4400, и и количество копий каждого белка равно</t>
        </r>
      </text>
    </comment>
    <comment ref="D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Количество сфер помещающихся на диаметре</t>
        </r>
      </text>
    </comment>
    <comment ref="D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Количество сфер помещающихся на окружности</t>
        </r>
      </text>
    </comment>
    <comment ref="D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Суммарное количество молекул в одном слое</t>
        </r>
      </text>
    </comment>
    <comment ref="D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Количество слоев помещающихся в цилиндре</t>
        </r>
      </text>
    </comment>
    <comment ref="D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суммарное количество молекул
</t>
        </r>
      </text>
    </comment>
    <comment ref="E5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Cтрого говоря не определена, так как белый свет есть совокупность нескольких видов электромагнитного излучения с разными длинами волн. Но будем считать что длина белого света лежит в диапазоне 400-700нм, поэтому примем за фактическую величину длины волны среднее значение 550нм</t>
        </r>
      </text>
    </comment>
    <comment ref="D5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необходимое чтобы объект стал заметен в световом микроскопе с разрешением </t>
        </r>
        <r>
          <rPr>
            <sz val="9"/>
            <rFont val="Calibri"/>
            <family val="2"/>
          </rPr>
          <t>λ</t>
        </r>
        <r>
          <rPr>
            <sz val="9"/>
            <rFont val="Tahoma"/>
            <family val="2"/>
          </rPr>
          <t>/2</t>
        </r>
      </text>
    </comment>
  </commentList>
</comments>
</file>

<file path=xl/sharedStrings.xml><?xml version="1.0" encoding="utf-8"?>
<sst xmlns="http://schemas.openxmlformats.org/spreadsheetml/2006/main" count="86" uniqueCount="74">
  <si>
    <t>diag#1</t>
  </si>
  <si>
    <t>PRO255C.CG-PRO255A.CG:</t>
  </si>
  <si>
    <t>diag#2</t>
  </si>
  <si>
    <t>HIS118D.CB-HIS118B.C:</t>
  </si>
  <si>
    <t>width#1</t>
  </si>
  <si>
    <t>THR30C.CA-ASP34AG.CG</t>
  </si>
  <si>
    <t>width#2</t>
  </si>
  <si>
    <t>Pro255C.CG-GLU117B.OE:</t>
  </si>
  <si>
    <t>length#1</t>
  </si>
  <si>
    <t>ARG38D.NH-ARG38B.NH:</t>
  </si>
  <si>
    <t xml:space="preserve">length#2 </t>
  </si>
  <si>
    <t>Lys188D.C-ASP185B.CG:</t>
  </si>
  <si>
    <t xml:space="preserve">height        </t>
  </si>
  <si>
    <t xml:space="preserve"> </t>
  </si>
  <si>
    <t xml:space="preserve">ASN169A.ND-GLU310A.OE:  </t>
  </si>
  <si>
    <t>//макс. Диагональ: снизу слева - сверху справа</t>
  </si>
  <si>
    <t>//мин.диагональ: сверху слева - снизу справа</t>
  </si>
  <si>
    <t>//макс.высота</t>
  </si>
  <si>
    <t>//мин.высота</t>
  </si>
  <si>
    <t>//макс.ширина</t>
  </si>
  <si>
    <t>//мин.ширина</t>
  </si>
  <si>
    <t>//толщина</t>
  </si>
  <si>
    <t>Виртуальный восьмиуголник:</t>
  </si>
  <si>
    <t>угол_1</t>
  </si>
  <si>
    <t>sin a</t>
  </si>
  <si>
    <t>высота трап</t>
  </si>
  <si>
    <t>сторона парал.</t>
  </si>
  <si>
    <t>основание трап.</t>
  </si>
  <si>
    <t>Vмол/Vсферы</t>
  </si>
  <si>
    <t>E.Coli</t>
  </si>
  <si>
    <t>Nh</t>
  </si>
  <si>
    <t>Ns</t>
  </si>
  <si>
    <t>Замощение восьмиугольником</t>
  </si>
  <si>
    <t>Замощение сферой</t>
  </si>
  <si>
    <t>Nd</t>
  </si>
  <si>
    <t>NC</t>
  </si>
  <si>
    <t>по толщине</t>
  </si>
  <si>
    <t>по макс.ширине</t>
  </si>
  <si>
    <t>по макс.высоте</t>
  </si>
  <si>
    <t>по мин.ширине</t>
  </si>
  <si>
    <t>по мин.высоте</t>
  </si>
  <si>
    <t>по макс.диаг</t>
  </si>
  <si>
    <t>по мин.диаг</t>
  </si>
  <si>
    <t>количество молекул</t>
  </si>
  <si>
    <t>Линейные размеры белка:</t>
  </si>
  <si>
    <t>Апроксимирование молекулы белка</t>
  </si>
  <si>
    <t>Площадь основания (правильного восьмиугольника)</t>
  </si>
  <si>
    <t>Длина (см.)</t>
  </si>
  <si>
    <t>Атомы между которыми измерялось расстояние</t>
  </si>
  <si>
    <t>Примечание</t>
  </si>
  <si>
    <t>средний к.п.</t>
  </si>
  <si>
    <t>Коэф.пропорц</t>
  </si>
  <si>
    <t>Количество каждого белка в клетке</t>
  </si>
  <si>
    <t>Количество каждого  белка в клетке</t>
  </si>
  <si>
    <t>No (10^6)</t>
  </si>
  <si>
    <t>по сфере</t>
  </si>
  <si>
    <r>
      <t xml:space="preserve">Замощение линейки длиной 0,13 </t>
    </r>
    <r>
      <rPr>
        <b/>
        <sz val="11"/>
        <color indexed="8"/>
        <rFont val="Calibri"/>
        <family val="2"/>
      </rPr>
      <t xml:space="preserve">μм </t>
    </r>
    <r>
      <rPr>
        <b/>
        <sz val="11"/>
        <color indexed="8"/>
        <rFont val="Calibri"/>
        <family val="2"/>
      </rPr>
      <t>в зависимости от укладки</t>
    </r>
  </si>
  <si>
    <t>Длина связи (м)</t>
  </si>
  <si>
    <t>Реальный размер (м)</t>
  </si>
  <si>
    <t>y (см)</t>
  </si>
  <si>
    <t>x (см)</t>
  </si>
  <si>
    <t>c (см)</t>
  </si>
  <si>
    <t>Длина окружности (м)</t>
  </si>
  <si>
    <t>Длина фрагмента окр. Описывающей восьмиугольник (м)</t>
  </si>
  <si>
    <t>Vмол (м^3)</t>
  </si>
  <si>
    <t>Vсферы (v^3)</t>
  </si>
  <si>
    <t>Радиус описанной окр.R (м)</t>
  </si>
  <si>
    <t>Радиус вписанной окр. R (м)</t>
  </si>
  <si>
    <t>r (м)</t>
  </si>
  <si>
    <t>h(м)</t>
  </si>
  <si>
    <t>Sосн (м^2)</t>
  </si>
  <si>
    <t>С (м)</t>
  </si>
  <si>
    <t>V (м^3)</t>
  </si>
  <si>
    <r>
      <t>Длина волны белого света (</t>
    </r>
    <r>
      <rPr>
        <b/>
        <sz val="11"/>
        <color indexed="8"/>
        <rFont val="Calibri"/>
        <family val="2"/>
      </rPr>
      <t>λ (м))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</si>
</sst>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/>
      <right/>
      <top style="medium"/>
      <bottom/>
    </border>
    <border>
      <left style="dotted"/>
      <right style="medium"/>
      <top style="medium"/>
      <bottom style="dotted"/>
    </border>
    <border>
      <left/>
      <right style="medium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 style="medium"/>
      <bottom style="dotted"/>
    </border>
    <border>
      <left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165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" fontId="0" fillId="0" borderId="30" xfId="0" applyNumberFormat="1" applyBorder="1" applyAlignment="1">
      <alignment/>
    </xf>
    <xf numFmtId="0" fontId="28" fillId="0" borderId="31" xfId="0" applyFont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64" fontId="0" fillId="0" borderId="29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165" fontId="0" fillId="0" borderId="29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6">
      <selection activeCell="G45" sqref="G45"/>
    </sheetView>
  </sheetViews>
  <sheetFormatPr defaultColWidth="9.140625" defaultRowHeight="15"/>
  <cols>
    <col min="1" max="1" width="19.421875" style="0" customWidth="1"/>
    <col min="2" max="2" width="24.57421875" style="0" customWidth="1"/>
    <col min="3" max="3" width="9.421875" style="0" customWidth="1"/>
    <col min="4" max="4" width="24.8515625" style="0" customWidth="1"/>
    <col min="5" max="5" width="13.140625" style="0" customWidth="1"/>
    <col min="6" max="6" width="9.7109375" style="0" customWidth="1"/>
    <col min="7" max="7" width="20.57421875" style="0" customWidth="1"/>
    <col min="8" max="8" width="12.140625" style="0" customWidth="1"/>
    <col min="10" max="10" width="17.00390625" style="0" customWidth="1"/>
    <col min="11" max="11" width="12.00390625" style="0" bestFit="1" customWidth="1"/>
  </cols>
  <sheetData>
    <row r="1" spans="1:4" ht="45">
      <c r="A1" s="8" t="s">
        <v>44</v>
      </c>
      <c r="B1" s="9" t="s">
        <v>48</v>
      </c>
      <c r="C1" s="9" t="s">
        <v>57</v>
      </c>
      <c r="D1" s="10" t="s">
        <v>49</v>
      </c>
    </row>
    <row r="2" spans="1:4" ht="30.75" customHeight="1">
      <c r="A2" s="11" t="s">
        <v>0</v>
      </c>
      <c r="B2" s="7" t="s">
        <v>1</v>
      </c>
      <c r="C2" s="7">
        <v>1.21137E-08</v>
      </c>
      <c r="D2" s="12" t="s">
        <v>15</v>
      </c>
    </row>
    <row r="3" spans="1:4" ht="30" customHeight="1">
      <c r="A3" s="11" t="s">
        <v>2</v>
      </c>
      <c r="B3" s="7" t="s">
        <v>3</v>
      </c>
      <c r="C3" s="7">
        <v>8.908E-09</v>
      </c>
      <c r="D3" s="12" t="s">
        <v>16</v>
      </c>
    </row>
    <row r="4" spans="1:4" ht="15">
      <c r="A4" s="11" t="s">
        <v>4</v>
      </c>
      <c r="B4" s="7" t="s">
        <v>5</v>
      </c>
      <c r="C4" s="7">
        <v>1.10647E-08</v>
      </c>
      <c r="D4" s="12" t="s">
        <v>17</v>
      </c>
    </row>
    <row r="5" spans="1:4" ht="15">
      <c r="A5" s="11" t="s">
        <v>6</v>
      </c>
      <c r="B5" s="7" t="s">
        <v>7</v>
      </c>
      <c r="C5" s="7">
        <v>7.7444E-09</v>
      </c>
      <c r="D5" s="12" t="s">
        <v>18</v>
      </c>
    </row>
    <row r="6" spans="1:4" ht="15">
      <c r="A6" s="11" t="s">
        <v>8</v>
      </c>
      <c r="B6" s="7" t="s">
        <v>9</v>
      </c>
      <c r="C6" s="7">
        <v>8.4931E-09</v>
      </c>
      <c r="D6" s="12" t="s">
        <v>19</v>
      </c>
    </row>
    <row r="7" spans="1:4" ht="15">
      <c r="A7" s="11" t="s">
        <v>10</v>
      </c>
      <c r="B7" s="7" t="s">
        <v>11</v>
      </c>
      <c r="C7" s="7">
        <v>5.7263E-09</v>
      </c>
      <c r="D7" s="12" t="s">
        <v>20</v>
      </c>
    </row>
    <row r="8" spans="1:10" ht="15.75" thickBot="1">
      <c r="A8" s="13" t="s">
        <v>12</v>
      </c>
      <c r="B8" s="14" t="s">
        <v>14</v>
      </c>
      <c r="C8" s="14">
        <v>4.672E-09</v>
      </c>
      <c r="D8" s="15" t="s">
        <v>21</v>
      </c>
      <c r="G8" s="1"/>
      <c r="J8" s="1"/>
    </row>
    <row r="9" spans="1:10" ht="15.75" thickBot="1">
      <c r="A9" s="1" t="s">
        <v>13</v>
      </c>
      <c r="G9" s="1"/>
      <c r="J9" s="1"/>
    </row>
    <row r="10" spans="1:10" ht="45">
      <c r="A10" s="32" t="s">
        <v>22</v>
      </c>
      <c r="B10" s="33"/>
      <c r="C10" s="34" t="s">
        <v>47</v>
      </c>
      <c r="D10" s="34" t="s">
        <v>51</v>
      </c>
      <c r="E10" s="50" t="s">
        <v>58</v>
      </c>
      <c r="F10" s="1"/>
      <c r="J10" s="1"/>
    </row>
    <row r="11" spans="1:10" ht="15">
      <c r="A11" s="26" t="s">
        <v>0</v>
      </c>
      <c r="B11" s="25"/>
      <c r="C11" s="25"/>
      <c r="D11" s="24"/>
      <c r="E11" s="27">
        <f aca="true" t="shared" si="0" ref="E11:E20">C11*кп</f>
        <v>0</v>
      </c>
      <c r="F11" s="1"/>
      <c r="J11" s="1"/>
    </row>
    <row r="12" spans="1:10" ht="15">
      <c r="A12" s="26" t="s">
        <v>2</v>
      </c>
      <c r="B12" s="25"/>
      <c r="C12" s="25"/>
      <c r="D12" s="24"/>
      <c r="E12" s="27">
        <f t="shared" si="0"/>
        <v>0</v>
      </c>
      <c r="F12" s="1"/>
      <c r="J12" s="1"/>
    </row>
    <row r="13" spans="1:10" ht="15">
      <c r="A13" s="26" t="s">
        <v>4</v>
      </c>
      <c r="B13" s="25"/>
      <c r="C13" s="25">
        <v>11.5</v>
      </c>
      <c r="D13" s="24">
        <f>C4/C13</f>
        <v>9.621478260869566E-10</v>
      </c>
      <c r="E13" s="27">
        <f t="shared" si="0"/>
        <v>1.1277682352941177E-08</v>
      </c>
      <c r="F13" s="1"/>
      <c r="J13" s="1"/>
    </row>
    <row r="14" spans="1:10" ht="15">
      <c r="A14" s="26" t="s">
        <v>6</v>
      </c>
      <c r="B14" s="25"/>
      <c r="C14" s="25"/>
      <c r="D14" s="25"/>
      <c r="E14" s="27">
        <f t="shared" si="0"/>
        <v>0</v>
      </c>
      <c r="F14" s="1"/>
      <c r="J14" s="1"/>
    </row>
    <row r="15" spans="1:10" ht="15">
      <c r="A15" s="26" t="s">
        <v>8</v>
      </c>
      <c r="B15" s="25"/>
      <c r="C15" s="25">
        <v>8.5</v>
      </c>
      <c r="D15" s="24">
        <f>C6/C15</f>
        <v>9.991882352941178E-10</v>
      </c>
      <c r="E15" s="27">
        <f t="shared" si="0"/>
        <v>8.335678260869567E-09</v>
      </c>
      <c r="F15" s="1"/>
      <c r="J15" s="1"/>
    </row>
    <row r="16" spans="1:10" ht="15">
      <c r="A16" s="26" t="s">
        <v>10</v>
      </c>
      <c r="B16" s="25"/>
      <c r="C16" s="25"/>
      <c r="D16" s="24"/>
      <c r="E16" s="27">
        <f t="shared" si="0"/>
        <v>0</v>
      </c>
      <c r="F16" s="1"/>
      <c r="G16" s="1"/>
      <c r="J16" s="1"/>
    </row>
    <row r="17" spans="1:10" ht="15">
      <c r="A17" s="26" t="s">
        <v>12</v>
      </c>
      <c r="B17" s="25"/>
      <c r="C17" s="25"/>
      <c r="D17" s="24"/>
      <c r="E17" s="27">
        <f t="shared" si="0"/>
        <v>0</v>
      </c>
      <c r="F17" s="1"/>
      <c r="G17" s="1"/>
      <c r="J17" s="1"/>
    </row>
    <row r="18" spans="1:6" ht="15">
      <c r="A18" s="26" t="s">
        <v>25</v>
      </c>
      <c r="B18" s="25"/>
      <c r="C18" s="25">
        <v>3.7</v>
      </c>
      <c r="D18" s="24"/>
      <c r="E18" s="27">
        <f t="shared" si="0"/>
        <v>3.6284717135549877E-09</v>
      </c>
      <c r="F18" s="1"/>
    </row>
    <row r="19" spans="1:6" ht="15">
      <c r="A19" s="26" t="s">
        <v>26</v>
      </c>
      <c r="B19" s="25"/>
      <c r="C19" s="25">
        <v>6.7</v>
      </c>
      <c r="D19" s="24"/>
      <c r="E19" s="27">
        <f t="shared" si="0"/>
        <v>6.5704758056266E-09</v>
      </c>
      <c r="F19" s="1"/>
    </row>
    <row r="20" spans="1:6" ht="30">
      <c r="A20" s="26" t="s">
        <v>27</v>
      </c>
      <c r="B20" s="25"/>
      <c r="C20" s="25">
        <v>3.2</v>
      </c>
      <c r="D20" s="24"/>
      <c r="E20" s="27">
        <f t="shared" si="0"/>
        <v>3.138137698209719E-09</v>
      </c>
      <c r="F20" s="1"/>
    </row>
    <row r="21" spans="1:6" ht="15.75" thickBot="1">
      <c r="A21" s="28" t="s">
        <v>50</v>
      </c>
      <c r="B21" s="29"/>
      <c r="C21" s="29"/>
      <c r="D21" s="30">
        <f>($C$4/$C$13+$C$6/$C$15)/2</f>
        <v>9.806680306905372E-10</v>
      </c>
      <c r="E21" s="31"/>
      <c r="F21" s="1"/>
    </row>
    <row r="22" ht="15.75" thickBot="1">
      <c r="F22" s="1"/>
    </row>
    <row r="23" spans="1:6" ht="15">
      <c r="A23" s="57" t="s">
        <v>23</v>
      </c>
      <c r="B23" s="58"/>
      <c r="D23" s="1"/>
      <c r="E23" s="1"/>
      <c r="F23" s="1"/>
    </row>
    <row r="24" spans="1:6" ht="15">
      <c r="A24" s="55" t="s">
        <v>59</v>
      </c>
      <c r="B24" s="56">
        <v>2</v>
      </c>
      <c r="D24" s="1"/>
      <c r="E24" s="1"/>
      <c r="F24" s="1"/>
    </row>
    <row r="25" spans="1:6" ht="15">
      <c r="A25" s="51" t="s">
        <v>60</v>
      </c>
      <c r="B25" s="39">
        <v>1.6</v>
      </c>
      <c r="D25" s="1"/>
      <c r="E25" s="1"/>
      <c r="F25" s="1"/>
    </row>
    <row r="26" spans="1:6" ht="15">
      <c r="A26" s="51" t="s">
        <v>61</v>
      </c>
      <c r="B26" s="52">
        <f>SQRT(B24^2+B25^2)</f>
        <v>2.5612496949731396</v>
      </c>
      <c r="D26" s="1"/>
      <c r="E26" s="1"/>
      <c r="F26" s="1"/>
    </row>
    <row r="27" spans="1:10" ht="15.75" thickBot="1">
      <c r="A27" s="53" t="s">
        <v>24</v>
      </c>
      <c r="B27" s="54">
        <f>B24/B26</f>
        <v>0.7808688094430303</v>
      </c>
      <c r="D27" s="1"/>
      <c r="E27" s="1"/>
      <c r="F27" s="1"/>
      <c r="G27" s="1"/>
      <c r="J27" s="1"/>
    </row>
    <row r="28" spans="4:10" ht="15.75" thickBot="1">
      <c r="D28" s="1"/>
      <c r="E28" s="1"/>
      <c r="F28" s="1"/>
      <c r="J28" s="1"/>
    </row>
    <row r="29" spans="1:6" ht="15.75" thickBot="1">
      <c r="A29" s="4"/>
      <c r="B29" s="45" t="s">
        <v>45</v>
      </c>
      <c r="C29" s="37"/>
      <c r="D29" s="35"/>
      <c r="E29" s="36"/>
      <c r="F29" s="1"/>
    </row>
    <row r="30" spans="1:6" ht="60">
      <c r="A30" s="17" t="s">
        <v>46</v>
      </c>
      <c r="B30" s="19">
        <f>C4*E19*B27*0.5+2*0.5*E18*(C4+E20)</f>
        <v>7.991931023484371E-17</v>
      </c>
      <c r="C30" s="19"/>
      <c r="D30" s="19"/>
      <c r="E30" s="38"/>
      <c r="F30" s="1"/>
    </row>
    <row r="31" spans="1:6" ht="30">
      <c r="A31" s="20" t="s">
        <v>67</v>
      </c>
      <c r="B31" s="18">
        <f>SQRT(B30*2/2/8/TAN(22.5/57.15))</f>
        <v>4.904041028280437E-09</v>
      </c>
      <c r="C31" s="18"/>
      <c r="D31" s="16" t="s">
        <v>62</v>
      </c>
      <c r="E31" s="39">
        <f>2*3.14*B31</f>
        <v>3.079737765760115E-08</v>
      </c>
      <c r="F31" s="1"/>
    </row>
    <row r="32" spans="1:6" ht="45">
      <c r="A32" s="20" t="s">
        <v>66</v>
      </c>
      <c r="B32" s="18">
        <f>B31*TAN(22.5/57.15)/SIN(22.5/57.15)</f>
        <v>5.310301773649593E-09</v>
      </c>
      <c r="C32" s="18"/>
      <c r="D32" s="16" t="s">
        <v>63</v>
      </c>
      <c r="E32" s="39">
        <f>E31/8*3</f>
        <v>1.154901662160043E-08</v>
      </c>
      <c r="F32" s="1"/>
    </row>
    <row r="33" spans="1:6" ht="15">
      <c r="A33" s="20" t="s">
        <v>64</v>
      </c>
      <c r="B33" s="18">
        <f>B30*C8</f>
        <v>3.733830174171898E-25</v>
      </c>
      <c r="C33" s="18"/>
      <c r="D33" s="16"/>
      <c r="E33" s="39"/>
      <c r="F33" s="1"/>
    </row>
    <row r="34" spans="1:6" ht="15">
      <c r="A34" s="20" t="s">
        <v>65</v>
      </c>
      <c r="B34" s="18">
        <f>4/3*3.14*B32^3</f>
        <v>6.269400154241396E-25</v>
      </c>
      <c r="C34" s="18"/>
      <c r="D34" s="16"/>
      <c r="E34" s="39"/>
      <c r="F34" s="1"/>
    </row>
    <row r="35" spans="1:6" ht="15.75" thickBot="1">
      <c r="A35" s="21" t="s">
        <v>28</v>
      </c>
      <c r="B35" s="22">
        <f>B33/B34</f>
        <v>0.5955641819490297</v>
      </c>
      <c r="C35" s="22"/>
      <c r="D35" s="23"/>
      <c r="E35" s="40"/>
      <c r="F35" s="1"/>
    </row>
    <row r="36" spans="4:7" ht="15">
      <c r="D36" s="1"/>
      <c r="E36" s="1"/>
      <c r="F36" s="1"/>
      <c r="G36" s="1"/>
    </row>
    <row r="37" ht="15.75" thickBot="1">
      <c r="F37" s="1"/>
    </row>
    <row r="38" spans="1:6" ht="15.75" thickBot="1">
      <c r="A38" s="6" t="s">
        <v>29</v>
      </c>
      <c r="B38" s="2"/>
      <c r="D38" s="1"/>
      <c r="E38" s="1"/>
      <c r="F38" s="1"/>
    </row>
    <row r="39" spans="1:6" ht="15">
      <c r="A39" s="17" t="s">
        <v>68</v>
      </c>
      <c r="B39" s="38">
        <f>5*10^(-7)</f>
        <v>5E-07</v>
      </c>
      <c r="D39" s="1"/>
      <c r="E39" s="1"/>
      <c r="F39" s="1"/>
    </row>
    <row r="40" spans="1:6" ht="15">
      <c r="A40" s="20" t="s">
        <v>69</v>
      </c>
      <c r="B40" s="39">
        <f>2*10^-6</f>
        <v>2E-06</v>
      </c>
      <c r="D40" s="1"/>
      <c r="E40" s="1"/>
      <c r="F40" s="1"/>
    </row>
    <row r="41" spans="1:6" ht="15">
      <c r="A41" s="20" t="s">
        <v>70</v>
      </c>
      <c r="B41" s="39">
        <f>3.14*B39^2</f>
        <v>7.85E-13</v>
      </c>
      <c r="D41" s="1"/>
      <c r="E41" s="1"/>
      <c r="F41" s="1"/>
    </row>
    <row r="42" spans="1:6" ht="15">
      <c r="A42" s="20" t="s">
        <v>72</v>
      </c>
      <c r="B42" s="39">
        <f>B41*B40</f>
        <v>1.57E-18</v>
      </c>
      <c r="D42" s="1"/>
      <c r="E42" s="1"/>
      <c r="F42" s="1"/>
    </row>
    <row r="43" spans="1:6" ht="15.75" thickBot="1">
      <c r="A43" s="21" t="s">
        <v>71</v>
      </c>
      <c r="B43" s="40">
        <f>2*3.14*B39</f>
        <v>3.14E-06</v>
      </c>
      <c r="D43" s="1"/>
      <c r="E43" s="1"/>
      <c r="F43" s="1"/>
    </row>
    <row r="44" spans="4:6" ht="15.75" thickBot="1">
      <c r="D44" s="1"/>
      <c r="E44" s="1"/>
      <c r="F44" s="1"/>
    </row>
    <row r="45" spans="1:6" ht="45">
      <c r="A45" s="46" t="s">
        <v>32</v>
      </c>
      <c r="B45" s="38"/>
      <c r="D45" s="46" t="s">
        <v>33</v>
      </c>
      <c r="E45" s="38"/>
      <c r="F45" s="1"/>
    </row>
    <row r="46" spans="1:6" ht="15">
      <c r="A46" s="20" t="s">
        <v>34</v>
      </c>
      <c r="B46" s="39">
        <f>INT(2*B39/(2*B32))</f>
        <v>94</v>
      </c>
      <c r="D46" s="20" t="s">
        <v>34</v>
      </c>
      <c r="E46" s="39">
        <f>INT(2*B39/2/B32)</f>
        <v>94</v>
      </c>
      <c r="F46" s="1"/>
    </row>
    <row r="47" spans="1:6" ht="15">
      <c r="A47" s="20" t="s">
        <v>35</v>
      </c>
      <c r="B47" s="39">
        <f>INT(B43/E32)</f>
        <v>271</v>
      </c>
      <c r="D47" s="20" t="s">
        <v>35</v>
      </c>
      <c r="E47" s="39">
        <f>INT(B43/(E31/2))</f>
        <v>203</v>
      </c>
      <c r="F47" s="1"/>
    </row>
    <row r="48" spans="1:5" ht="15">
      <c r="A48" s="20" t="s">
        <v>31</v>
      </c>
      <c r="B48" s="39">
        <f>B46*B47</f>
        <v>25474</v>
      </c>
      <c r="D48" s="20" t="s">
        <v>31</v>
      </c>
      <c r="E48" s="39">
        <f>INT(E46*E47)</f>
        <v>19082</v>
      </c>
    </row>
    <row r="49" spans="1:5" ht="15">
      <c r="A49" s="20" t="s">
        <v>30</v>
      </c>
      <c r="B49" s="39">
        <f>INT(B40/C8)</f>
        <v>428</v>
      </c>
      <c r="D49" s="20" t="s">
        <v>30</v>
      </c>
      <c r="E49" s="39">
        <f>INT(B40/2/B32)</f>
        <v>188</v>
      </c>
    </row>
    <row r="50" spans="1:5" ht="15.75" thickBot="1">
      <c r="A50" s="21" t="s">
        <v>54</v>
      </c>
      <c r="B50" s="42">
        <f>B48*B49/10^6</f>
        <v>10.902872</v>
      </c>
      <c r="D50" s="21" t="s">
        <v>54</v>
      </c>
      <c r="E50" s="42">
        <f>E48*E49/10^6</f>
        <v>3.587416</v>
      </c>
    </row>
    <row r="51" spans="1:5" ht="15.75" thickBot="1">
      <c r="A51" s="3"/>
      <c r="B51" s="5"/>
      <c r="D51" s="3"/>
      <c r="E51" s="5"/>
    </row>
    <row r="52" spans="1:5" ht="45.75" thickBot="1">
      <c r="A52" s="47" t="s">
        <v>52</v>
      </c>
      <c r="B52" s="41">
        <f>INT(B50*10^6/4400)</f>
        <v>2477</v>
      </c>
      <c r="D52" s="48" t="s">
        <v>53</v>
      </c>
      <c r="E52" s="43">
        <f>INT(E50*10^6/4400)</f>
        <v>815</v>
      </c>
    </row>
    <row r="53" ht="15.75" thickBot="1"/>
    <row r="54" spans="1:5" ht="75">
      <c r="A54" s="46" t="s">
        <v>56</v>
      </c>
      <c r="B54" s="38"/>
      <c r="D54" s="46" t="s">
        <v>73</v>
      </c>
      <c r="E54" s="38">
        <f>550*10^-9</f>
        <v>5.5E-07</v>
      </c>
    </row>
    <row r="55" spans="1:5" ht="30.75" thickBot="1">
      <c r="A55" s="20" t="s">
        <v>36</v>
      </c>
      <c r="B55" s="59">
        <v>27.825342465753423</v>
      </c>
      <c r="D55" s="49" t="s">
        <v>43</v>
      </c>
      <c r="E55" s="44">
        <f>(E54/2)/C2</f>
        <v>22.70156929757217</v>
      </c>
    </row>
    <row r="56" spans="1:2" ht="15">
      <c r="A56" s="20" t="s">
        <v>39</v>
      </c>
      <c r="B56" s="59">
        <v>22.702268480519706</v>
      </c>
    </row>
    <row r="57" spans="1:2" ht="15">
      <c r="A57" s="20" t="s">
        <v>40</v>
      </c>
      <c r="B57" s="59">
        <v>16.78632302050514</v>
      </c>
    </row>
    <row r="58" spans="1:2" ht="30">
      <c r="A58" s="20" t="s">
        <v>37</v>
      </c>
      <c r="B58" s="59">
        <v>15.306542958401524</v>
      </c>
    </row>
    <row r="59" spans="1:2" ht="15">
      <c r="A59" s="20" t="s">
        <v>42</v>
      </c>
      <c r="B59" s="59">
        <v>14.593623709025596</v>
      </c>
    </row>
    <row r="60" spans="1:2" ht="15">
      <c r="A60" s="26" t="s">
        <v>55</v>
      </c>
      <c r="B60" s="59">
        <f>0.13*10^-6/2/B31</f>
        <v>13.254375243836762</v>
      </c>
    </row>
    <row r="61" spans="1:2" ht="15">
      <c r="A61" s="20" t="s">
        <v>38</v>
      </c>
      <c r="B61" s="59">
        <v>11.749075889992499</v>
      </c>
    </row>
    <row r="62" spans="1:2" ht="15.75" thickBot="1">
      <c r="A62" s="21" t="s">
        <v>41</v>
      </c>
      <c r="B62" s="42">
        <v>10.73165094067048</v>
      </c>
    </row>
  </sheetData>
  <printOptions/>
  <pageMargins left="0" right="0" top="0.7480314960629921" bottom="0.7480314960629921" header="0.31496062992125984" footer="0.31496062992125984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2007-12-17T02:00:55Z</dcterms:modified>
  <cp:category/>
  <cp:version/>
  <cp:contentType/>
  <cp:contentStatus/>
</cp:coreProperties>
</file>